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65516" windowWidth="20900" windowHeight="14500" tabRatio="500" activeTab="0"/>
  </bookViews>
  <sheets>
    <sheet name="2 races off" sheetId="1" r:id="rId1"/>
    <sheet name="1 race off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<sst xmlns="http://schemas.openxmlformats.org/spreadsheetml/2006/main" count="50" uniqueCount="23">
  <si>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UVM</t>
  </si>
  <si>
    <t>Cornell</t>
  </si>
  <si>
    <t>Princeton</t>
  </si>
  <si>
    <t>Colby</t>
  </si>
  <si>
    <t>Rutgers</t>
  </si>
  <si>
    <t>Philly</t>
  </si>
  <si>
    <t>Pitt</t>
  </si>
  <si>
    <t>PSU</t>
  </si>
  <si>
    <t>Army</t>
  </si>
  <si>
    <t>Beanpot</t>
  </si>
  <si>
    <t>Easterns</t>
  </si>
  <si>
    <t>Kutztown</t>
  </si>
  <si>
    <t>Rochester</t>
  </si>
  <si>
    <t>Difference</t>
  </si>
  <si>
    <t>Columbia-</t>
  </si>
  <si>
    <t>(all races)</t>
  </si>
  <si>
    <t>(7 of 9 races)</t>
  </si>
  <si>
    <t>Total miles</t>
  </si>
  <si>
    <t>Percent diff.</t>
  </si>
  <si>
    <t>Temple/Drexel/Penn</t>
  </si>
  <si>
    <t>Harvard/MIT/Tufts/BU/BC/NU</t>
  </si>
  <si>
    <t>Average round trip</t>
  </si>
  <si>
    <t>(8 of 9 races)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</si>
</sst>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9" sqref="A9"/>
    </sheetView>
  </sheetViews>
  <sheetFormatPr defaultColWidth="11.00390625" defaultRowHeight="12.75"/>
  <cols>
    <col min="1" max="1" width="24.00390625" style="0" bestFit="1" customWidth="1"/>
    <col min="2" max="10" width="9.25390625" style="0" customWidth="1"/>
    <col min="11" max="11" width="9.75390625" style="0" bestFit="1" customWidth="1"/>
    <col min="12" max="12" width="11.875" style="0" bestFit="1" customWidth="1"/>
    <col min="13" max="13" width="9.75390625" style="0" bestFit="1" customWidth="1"/>
  </cols>
  <sheetData>
    <row r="1" spans="2:14" s="2" customFormat="1" ht="22.5" customHeight="1">
      <c r="B1" s="2" t="s">
        <v>4</v>
      </c>
      <c r="C1" s="2" t="s">
        <v>5</v>
      </c>
      <c r="D1" s="2" t="s">
        <v>14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0</v>
      </c>
      <c r="J1" s="2" t="s">
        <v>10</v>
      </c>
      <c r="K1" s="4" t="s">
        <v>17</v>
      </c>
      <c r="L1" s="4" t="s">
        <v>17</v>
      </c>
      <c r="M1" s="3" t="s">
        <v>13</v>
      </c>
      <c r="N1" s="2" t="s">
        <v>18</v>
      </c>
    </row>
    <row r="2" spans="4:13" s="2" customFormat="1" ht="22.5" customHeight="1">
      <c r="D2" s="2" t="s">
        <v>2</v>
      </c>
      <c r="K2" s="4" t="s">
        <v>15</v>
      </c>
      <c r="L2" s="4" t="s">
        <v>16</v>
      </c>
      <c r="M2" s="3"/>
    </row>
    <row r="3" spans="1:14" ht="12.75">
      <c r="A3" t="s">
        <v>0</v>
      </c>
      <c r="B3">
        <f>332</f>
        <v>332</v>
      </c>
      <c r="C3">
        <f>385</f>
        <v>385</v>
      </c>
      <c r="D3">
        <f>304</f>
        <v>304</v>
      </c>
      <c r="E3">
        <f>640</f>
        <v>640</v>
      </c>
      <c r="F3">
        <f>485</f>
        <v>485</v>
      </c>
      <c r="G3">
        <f>259</f>
        <v>259</v>
      </c>
      <c r="H3">
        <f>215</f>
        <v>215</v>
      </c>
      <c r="I3">
        <f>0</f>
        <v>0</v>
      </c>
      <c r="J3">
        <f>96</f>
        <v>96</v>
      </c>
      <c r="K3" s="5">
        <f>2*SUM(B3:J3)</f>
        <v>5432</v>
      </c>
      <c r="L3" s="5">
        <f>2*SUM(SMALL(B3:I3,{1,2,3,4,5,6}),J3)</f>
        <v>3182</v>
      </c>
      <c r="M3" s="1">
        <f>L3-K3</f>
        <v>-2250</v>
      </c>
      <c r="N3" s="6">
        <f>M3/K3*100</f>
        <v>-41.421207658321066</v>
      </c>
    </row>
    <row r="4" spans="1:14" ht="12.75">
      <c r="A4" t="s">
        <v>1</v>
      </c>
      <c r="B4">
        <f>212</f>
        <v>212</v>
      </c>
      <c r="C4">
        <f>230</f>
        <v>230</v>
      </c>
      <c r="D4">
        <f>225</f>
        <v>225</v>
      </c>
      <c r="E4">
        <f>356</f>
        <v>356</v>
      </c>
      <c r="F4">
        <f>184</f>
        <v>184</v>
      </c>
      <c r="G4">
        <f>190</f>
        <v>190</v>
      </c>
      <c r="H4">
        <f>346</f>
        <v>346</v>
      </c>
      <c r="I4">
        <f>320</f>
        <v>320</v>
      </c>
      <c r="J4">
        <f>317</f>
        <v>317</v>
      </c>
      <c r="K4" s="5">
        <f aca="true" t="shared" si="0" ref="K4:K10">2*SUM(B4:J4)</f>
        <v>4760</v>
      </c>
      <c r="L4" s="5">
        <f>2*SUM(SMALL(B4:I4,{1,2,3,4,5,6}),J4)</f>
        <v>3356</v>
      </c>
      <c r="M4" s="1">
        <f aca="true" t="shared" si="1" ref="M4:M10">L4-K4</f>
        <v>-1404</v>
      </c>
      <c r="N4" s="6">
        <f aca="true" t="shared" si="2" ref="N4:N10">M4/K4*100</f>
        <v>-29.495798319327733</v>
      </c>
    </row>
    <row r="5" spans="1:14" ht="12.75">
      <c r="A5" t="s">
        <v>19</v>
      </c>
      <c r="B5">
        <f>72</f>
        <v>72</v>
      </c>
      <c r="C5">
        <f>0</f>
        <v>0</v>
      </c>
      <c r="D5">
        <f>96</f>
        <v>96</v>
      </c>
      <c r="E5">
        <f>305</f>
        <v>305</v>
      </c>
      <c r="F5">
        <f>192</f>
        <v>192</v>
      </c>
      <c r="G5">
        <f>141</f>
        <v>141</v>
      </c>
      <c r="H5">
        <f>309</f>
        <v>309</v>
      </c>
      <c r="I5">
        <f>385</f>
        <v>385</v>
      </c>
      <c r="J5">
        <f>361</f>
        <v>361</v>
      </c>
      <c r="K5" s="5">
        <f t="shared" si="0"/>
        <v>3722</v>
      </c>
      <c r="L5" s="5">
        <f>2*SUM(SMALL(B5:I5,{1,2,3,4,5,6}),J5)</f>
        <v>2334</v>
      </c>
      <c r="M5" s="1">
        <f t="shared" si="1"/>
        <v>-1388</v>
      </c>
      <c r="N5" s="6">
        <f t="shared" si="2"/>
        <v>-37.291778613648574</v>
      </c>
    </row>
    <row r="6" spans="1:14" ht="12.75">
      <c r="A6" t="s">
        <v>20</v>
      </c>
      <c r="B6">
        <f>252</f>
        <v>252</v>
      </c>
      <c r="C6">
        <f>312</f>
        <v>312</v>
      </c>
      <c r="D6">
        <f>213</f>
        <v>213</v>
      </c>
      <c r="E6">
        <f>566</f>
        <v>566</v>
      </c>
      <c r="F6">
        <f>437</f>
        <v>437</v>
      </c>
      <c r="G6">
        <f>208</f>
        <v>208</v>
      </c>
      <c r="H6">
        <v>0</v>
      </c>
      <c r="I6">
        <f>216</f>
        <v>216</v>
      </c>
      <c r="J6">
        <f>126</f>
        <v>126</v>
      </c>
      <c r="K6" s="5">
        <f t="shared" si="0"/>
        <v>4660</v>
      </c>
      <c r="L6" s="5">
        <f>2*SUM(SMALL(B6:I6,{1,2,3,4,5,6}),J6)</f>
        <v>2654</v>
      </c>
      <c r="M6" s="1">
        <f t="shared" si="1"/>
        <v>-2006</v>
      </c>
      <c r="N6" s="6">
        <f t="shared" si="2"/>
        <v>-43.047210300429185</v>
      </c>
    </row>
    <row r="7" spans="1:14" ht="12.75">
      <c r="A7" t="s">
        <v>2</v>
      </c>
      <c r="B7">
        <f>27</f>
        <v>27</v>
      </c>
      <c r="C7">
        <f>45</f>
        <v>45</v>
      </c>
      <c r="D7">
        <f>53</f>
        <v>53</v>
      </c>
      <c r="E7">
        <f>336</f>
        <v>336</v>
      </c>
      <c r="F7">
        <f>222</f>
        <v>222</v>
      </c>
      <c r="G7">
        <f>93</f>
        <v>93</v>
      </c>
      <c r="H7">
        <f>267</f>
        <v>267</v>
      </c>
      <c r="I7">
        <f>341</f>
        <v>341</v>
      </c>
      <c r="J7">
        <f>319</f>
        <v>319</v>
      </c>
      <c r="K7" s="5">
        <f t="shared" si="0"/>
        <v>3406</v>
      </c>
      <c r="L7" s="5">
        <f>2*SUM(SMALL(B7:I7,{1,2,3,4,5,6}),J7)</f>
        <v>2052</v>
      </c>
      <c r="M7" s="1">
        <f t="shared" si="1"/>
        <v>-1354</v>
      </c>
      <c r="N7" s="6">
        <f t="shared" si="2"/>
        <v>-39.753376394597765</v>
      </c>
    </row>
    <row r="8" spans="1:14" ht="12.75">
      <c r="A8" t="s">
        <v>3</v>
      </c>
      <c r="B8">
        <f>421</f>
        <v>421</v>
      </c>
      <c r="C8">
        <f>488</f>
        <v>488</v>
      </c>
      <c r="D8">
        <f>388</f>
        <v>388</v>
      </c>
      <c r="E8">
        <f>742</f>
        <v>742</v>
      </c>
      <c r="F8">
        <f>613</f>
        <v>613</v>
      </c>
      <c r="G8">
        <f>384</f>
        <v>384</v>
      </c>
      <c r="H8">
        <f>184</f>
        <v>184</v>
      </c>
      <c r="I8">
        <f>236</f>
        <v>236</v>
      </c>
      <c r="J8">
        <f>238</f>
        <v>238</v>
      </c>
      <c r="K8" s="5">
        <f t="shared" si="0"/>
        <v>7388</v>
      </c>
      <c r="L8" s="5">
        <f>2*SUM(SMALL(B8:I8,{1,2,3,4,5,6}),J8)</f>
        <v>4678</v>
      </c>
      <c r="M8" s="1">
        <f t="shared" si="1"/>
        <v>-2710</v>
      </c>
      <c r="N8" s="6">
        <f t="shared" si="2"/>
        <v>-36.68110449377369</v>
      </c>
    </row>
    <row r="9" spans="1:14" ht="12.75">
      <c r="A9" t="s">
        <v>11</v>
      </c>
      <c r="B9">
        <f>82</f>
        <v>82</v>
      </c>
      <c r="C9">
        <f>71</f>
        <v>71</v>
      </c>
      <c r="D9">
        <f>108</f>
        <v>108</v>
      </c>
      <c r="E9">
        <f>270</f>
        <v>270</v>
      </c>
      <c r="F9">
        <f>150</f>
        <v>150</v>
      </c>
      <c r="G9">
        <f>138</f>
        <v>138</v>
      </c>
      <c r="H9">
        <f>322</f>
        <v>322</v>
      </c>
      <c r="I9">
        <f>386</f>
        <v>386</v>
      </c>
      <c r="J9">
        <f>374</f>
        <v>374</v>
      </c>
      <c r="K9" s="5">
        <f t="shared" si="0"/>
        <v>3802</v>
      </c>
      <c r="L9" s="5">
        <f>2*SUM(SMALL(B9:I9,{1,2,3,4,5,6}),J9)</f>
        <v>2386</v>
      </c>
      <c r="M9" s="1">
        <f t="shared" si="1"/>
        <v>-1416</v>
      </c>
      <c r="N9" s="6">
        <f t="shared" si="2"/>
        <v>-37.243556023145715</v>
      </c>
    </row>
    <row r="10" spans="1:14" ht="12.75">
      <c r="A10" t="s">
        <v>12</v>
      </c>
      <c r="B10">
        <f>323</f>
        <v>323</v>
      </c>
      <c r="C10">
        <f>340</f>
        <v>340</v>
      </c>
      <c r="D10">
        <f>335</f>
        <v>335</v>
      </c>
      <c r="E10">
        <f>285</f>
        <v>285</v>
      </c>
      <c r="F10">
        <f>240</f>
        <v>240</v>
      </c>
      <c r="G10">
        <f>301</f>
        <v>301</v>
      </c>
      <c r="H10">
        <f>392</f>
        <v>392</v>
      </c>
      <c r="I10">
        <f>367</f>
        <v>367</v>
      </c>
      <c r="J10">
        <f>363</f>
        <v>363</v>
      </c>
      <c r="K10" s="5">
        <f t="shared" si="0"/>
        <v>5892</v>
      </c>
      <c r="L10" s="5">
        <f>2*SUM(SMALL(B10:I10,{1,2,3,4,5,6}),J10)</f>
        <v>4374</v>
      </c>
      <c r="M10" s="1">
        <f t="shared" si="1"/>
        <v>-1518</v>
      </c>
      <c r="N10" s="6">
        <f t="shared" si="2"/>
        <v>-25.76374745417515</v>
      </c>
    </row>
    <row r="13" spans="1:10" ht="12.75">
      <c r="A13" t="s">
        <v>21</v>
      </c>
      <c r="B13" s="6">
        <f>2*SUM(B3:B10)/8</f>
        <v>430.25</v>
      </c>
      <c r="C13" s="6">
        <f aca="true" t="shared" si="3" ref="C13:J13">2*SUM(C3:C10)/8</f>
        <v>467.75</v>
      </c>
      <c r="D13" s="6">
        <f t="shared" si="3"/>
        <v>430.5</v>
      </c>
      <c r="E13" s="6">
        <f t="shared" si="3"/>
        <v>875</v>
      </c>
      <c r="F13" s="6">
        <f t="shared" si="3"/>
        <v>630.75</v>
      </c>
      <c r="G13" s="6">
        <f t="shared" si="3"/>
        <v>428.5</v>
      </c>
      <c r="H13" s="6">
        <f t="shared" si="3"/>
        <v>508.75</v>
      </c>
      <c r="I13" s="6">
        <f t="shared" si="3"/>
        <v>562.75</v>
      </c>
      <c r="J13" s="6">
        <f t="shared" si="3"/>
        <v>548.5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1">
      <selection activeCell="N9" sqref="N9"/>
    </sheetView>
  </sheetViews>
  <sheetFormatPr defaultColWidth="11.00390625" defaultRowHeight="12.75"/>
  <cols>
    <col min="1" max="1" width="24.00390625" style="0" bestFit="1" customWidth="1"/>
    <col min="2" max="10" width="9.25390625" style="0" customWidth="1"/>
    <col min="11" max="11" width="9.75390625" style="0" bestFit="1" customWidth="1"/>
    <col min="12" max="12" width="11.875" style="0" bestFit="1" customWidth="1"/>
    <col min="13" max="13" width="9.75390625" style="0" bestFit="1" customWidth="1"/>
  </cols>
  <sheetData>
    <row r="1" spans="1:14" ht="22.5" customHeight="1">
      <c r="A1" s="2"/>
      <c r="B1" s="2" t="s">
        <v>4</v>
      </c>
      <c r="C1" s="2" t="s">
        <v>5</v>
      </c>
      <c r="D1" s="2" t="s">
        <v>14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0</v>
      </c>
      <c r="J1" s="2" t="s">
        <v>10</v>
      </c>
      <c r="K1" s="4" t="s">
        <v>17</v>
      </c>
      <c r="L1" s="4" t="s">
        <v>17</v>
      </c>
      <c r="M1" s="3" t="s">
        <v>13</v>
      </c>
      <c r="N1" s="2" t="s">
        <v>18</v>
      </c>
    </row>
    <row r="2" spans="1:14" ht="22.5" customHeight="1">
      <c r="A2" s="2"/>
      <c r="B2" s="2"/>
      <c r="C2" s="2"/>
      <c r="D2" s="2" t="s">
        <v>2</v>
      </c>
      <c r="E2" s="2"/>
      <c r="F2" s="2"/>
      <c r="G2" s="2"/>
      <c r="H2" s="2"/>
      <c r="I2" s="2"/>
      <c r="J2" s="2"/>
      <c r="K2" s="4" t="s">
        <v>15</v>
      </c>
      <c r="L2" s="4" t="s">
        <v>22</v>
      </c>
      <c r="M2" s="3"/>
      <c r="N2" s="2"/>
    </row>
    <row r="3" spans="1:14" ht="12.75">
      <c r="A3" t="s">
        <v>0</v>
      </c>
      <c r="B3">
        <f>332</f>
        <v>332</v>
      </c>
      <c r="C3">
        <f>385</f>
        <v>385</v>
      </c>
      <c r="D3">
        <f>304</f>
        <v>304</v>
      </c>
      <c r="E3">
        <f>640</f>
        <v>640</v>
      </c>
      <c r="F3">
        <f>485</f>
        <v>485</v>
      </c>
      <c r="G3">
        <f>259</f>
        <v>259</v>
      </c>
      <c r="H3">
        <f>215</f>
        <v>215</v>
      </c>
      <c r="I3">
        <f>0</f>
        <v>0</v>
      </c>
      <c r="J3">
        <f>96</f>
        <v>96</v>
      </c>
      <c r="K3" s="5">
        <f>2*SUM(B3:J3)</f>
        <v>5432</v>
      </c>
      <c r="L3" s="5">
        <f>2*SUM(SMALL(B3:I3,{1,2,3,4,5,6,7}),J3)</f>
        <v>4152</v>
      </c>
      <c r="M3" s="1">
        <f>L3-K3</f>
        <v>-1280</v>
      </c>
      <c r="N3" s="6">
        <f>M3/K3*100</f>
        <v>-23.5640648011782</v>
      </c>
    </row>
    <row r="4" spans="1:14" ht="12.75">
      <c r="A4" t="s">
        <v>1</v>
      </c>
      <c r="B4">
        <f>212</f>
        <v>212</v>
      </c>
      <c r="C4">
        <f>230</f>
        <v>230</v>
      </c>
      <c r="D4">
        <f>225</f>
        <v>225</v>
      </c>
      <c r="E4">
        <f>356</f>
        <v>356</v>
      </c>
      <c r="F4">
        <f>184</f>
        <v>184</v>
      </c>
      <c r="G4">
        <f>190</f>
        <v>190</v>
      </c>
      <c r="H4">
        <f>346</f>
        <v>346</v>
      </c>
      <c r="I4">
        <f>320</f>
        <v>320</v>
      </c>
      <c r="J4">
        <f>317</f>
        <v>317</v>
      </c>
      <c r="K4" s="5">
        <f aca="true" t="shared" si="0" ref="K4:K10">2*SUM(B4:J4)</f>
        <v>4760</v>
      </c>
      <c r="L4" s="5">
        <f>2*SUM(SMALL(B4:I4,{1,2,3,4,5,6,7}),J4)</f>
        <v>4048</v>
      </c>
      <c r="M4" s="1">
        <f aca="true" t="shared" si="1" ref="M4:M10">L4-K4</f>
        <v>-712</v>
      </c>
      <c r="N4" s="6">
        <f aca="true" t="shared" si="2" ref="N4:N10">M4/K4*100</f>
        <v>-14.957983193277311</v>
      </c>
    </row>
    <row r="5" spans="1:14" ht="12.75">
      <c r="A5" t="s">
        <v>19</v>
      </c>
      <c r="B5">
        <f>72</f>
        <v>72</v>
      </c>
      <c r="C5">
        <f>0</f>
        <v>0</v>
      </c>
      <c r="D5">
        <f>96</f>
        <v>96</v>
      </c>
      <c r="E5">
        <f>305</f>
        <v>305</v>
      </c>
      <c r="F5">
        <f>192</f>
        <v>192</v>
      </c>
      <c r="G5">
        <f>141</f>
        <v>141</v>
      </c>
      <c r="H5">
        <f>309</f>
        <v>309</v>
      </c>
      <c r="I5">
        <f>385</f>
        <v>385</v>
      </c>
      <c r="J5">
        <f>361</f>
        <v>361</v>
      </c>
      <c r="K5" s="5">
        <f t="shared" si="0"/>
        <v>3722</v>
      </c>
      <c r="L5" s="5">
        <f>2*SUM(SMALL(B5:I5,{1,2,3,4,5,6,7}),J5)</f>
        <v>2952</v>
      </c>
      <c r="M5" s="1">
        <f t="shared" si="1"/>
        <v>-770</v>
      </c>
      <c r="N5" s="6">
        <f t="shared" si="2"/>
        <v>-20.687802256851157</v>
      </c>
    </row>
    <row r="6" spans="1:14" ht="12.75">
      <c r="A6" t="s">
        <v>20</v>
      </c>
      <c r="B6">
        <f>252</f>
        <v>252</v>
      </c>
      <c r="C6">
        <f>312</f>
        <v>312</v>
      </c>
      <c r="D6">
        <f>213</f>
        <v>213</v>
      </c>
      <c r="E6">
        <f>566</f>
        <v>566</v>
      </c>
      <c r="F6">
        <f>437</f>
        <v>437</v>
      </c>
      <c r="G6">
        <f>208</f>
        <v>208</v>
      </c>
      <c r="H6">
        <v>0</v>
      </c>
      <c r="I6">
        <f>216</f>
        <v>216</v>
      </c>
      <c r="J6">
        <f>126</f>
        <v>126</v>
      </c>
      <c r="K6" s="5">
        <f t="shared" si="0"/>
        <v>4660</v>
      </c>
      <c r="L6" s="5">
        <f>2*SUM(SMALL(B6:I6,{1,2,3,4,5,6,7}),J6)</f>
        <v>3528</v>
      </c>
      <c r="M6" s="1">
        <f t="shared" si="1"/>
        <v>-1132</v>
      </c>
      <c r="N6" s="6">
        <f t="shared" si="2"/>
        <v>-24.29184549356223</v>
      </c>
    </row>
    <row r="7" spans="1:14" ht="12.75">
      <c r="A7" t="s">
        <v>2</v>
      </c>
      <c r="B7">
        <f>27</f>
        <v>27</v>
      </c>
      <c r="C7">
        <f>45</f>
        <v>45</v>
      </c>
      <c r="D7">
        <f>53</f>
        <v>53</v>
      </c>
      <c r="E7">
        <f>336</f>
        <v>336</v>
      </c>
      <c r="F7">
        <f>222</f>
        <v>222</v>
      </c>
      <c r="G7">
        <f>93</f>
        <v>93</v>
      </c>
      <c r="H7">
        <f>267</f>
        <v>267</v>
      </c>
      <c r="I7">
        <f>341</f>
        <v>341</v>
      </c>
      <c r="J7">
        <f>319</f>
        <v>319</v>
      </c>
      <c r="K7" s="5">
        <f t="shared" si="0"/>
        <v>3406</v>
      </c>
      <c r="L7" s="5">
        <f>2*SUM(SMALL(B7:I7,{1,2,3,4,5,6,7}),J7)</f>
        <v>2724</v>
      </c>
      <c r="M7" s="1">
        <f t="shared" si="1"/>
        <v>-682</v>
      </c>
      <c r="N7" s="6">
        <f t="shared" si="2"/>
        <v>-20.02348796241926</v>
      </c>
    </row>
    <row r="8" spans="1:14" ht="12.75">
      <c r="A8" t="s">
        <v>3</v>
      </c>
      <c r="B8">
        <f>421</f>
        <v>421</v>
      </c>
      <c r="C8">
        <f>488</f>
        <v>488</v>
      </c>
      <c r="D8">
        <f>388</f>
        <v>388</v>
      </c>
      <c r="E8">
        <f>742</f>
        <v>742</v>
      </c>
      <c r="F8">
        <f>613</f>
        <v>613</v>
      </c>
      <c r="G8">
        <f>384</f>
        <v>384</v>
      </c>
      <c r="H8">
        <f>184</f>
        <v>184</v>
      </c>
      <c r="I8">
        <f>236</f>
        <v>236</v>
      </c>
      <c r="J8">
        <f>238</f>
        <v>238</v>
      </c>
      <c r="K8" s="5">
        <f t="shared" si="0"/>
        <v>7388</v>
      </c>
      <c r="L8" s="5">
        <f>2*SUM(SMALL(B8:I8,{1,2,3,4,5,6,7}),J8)</f>
        <v>5904</v>
      </c>
      <c r="M8" s="1">
        <f t="shared" si="1"/>
        <v>-1484</v>
      </c>
      <c r="N8" s="6">
        <f t="shared" si="2"/>
        <v>-20.086626962642125</v>
      </c>
    </row>
    <row r="9" spans="1:14" ht="12.75">
      <c r="A9" t="s">
        <v>11</v>
      </c>
      <c r="B9">
        <f>82</f>
        <v>82</v>
      </c>
      <c r="C9">
        <f>71</f>
        <v>71</v>
      </c>
      <c r="D9">
        <f>108</f>
        <v>108</v>
      </c>
      <c r="E9">
        <f>270</f>
        <v>270</v>
      </c>
      <c r="F9">
        <f>150</f>
        <v>150</v>
      </c>
      <c r="G9">
        <f>138</f>
        <v>138</v>
      </c>
      <c r="H9">
        <f>322</f>
        <v>322</v>
      </c>
      <c r="I9">
        <f>386</f>
        <v>386</v>
      </c>
      <c r="J9">
        <f>374</f>
        <v>374</v>
      </c>
      <c r="K9" s="5">
        <f t="shared" si="0"/>
        <v>3802</v>
      </c>
      <c r="L9" s="5">
        <f>2*SUM(SMALL(B9:I9,{1,2,3,4,5,6,7}),J9)</f>
        <v>3030</v>
      </c>
      <c r="M9" s="1">
        <f t="shared" si="1"/>
        <v>-772</v>
      </c>
      <c r="N9" s="6">
        <f t="shared" si="2"/>
        <v>-20.30510257759074</v>
      </c>
    </row>
    <row r="10" spans="1:14" ht="12.75">
      <c r="A10" t="s">
        <v>12</v>
      </c>
      <c r="B10">
        <f>323</f>
        <v>323</v>
      </c>
      <c r="C10">
        <f>340</f>
        <v>340</v>
      </c>
      <c r="D10">
        <f>335</f>
        <v>335</v>
      </c>
      <c r="E10">
        <f>285</f>
        <v>285</v>
      </c>
      <c r="F10">
        <f>240</f>
        <v>240</v>
      </c>
      <c r="G10">
        <f>301</f>
        <v>301</v>
      </c>
      <c r="H10">
        <f>392</f>
        <v>392</v>
      </c>
      <c r="I10">
        <f>367</f>
        <v>367</v>
      </c>
      <c r="J10">
        <f>363</f>
        <v>363</v>
      </c>
      <c r="K10" s="5">
        <f t="shared" si="0"/>
        <v>5892</v>
      </c>
      <c r="L10" s="5">
        <f>2*SUM(SMALL(B10:I10,{1,2,3,4,5,6,7}),J10)</f>
        <v>5108</v>
      </c>
      <c r="M10" s="1">
        <f t="shared" si="1"/>
        <v>-784</v>
      </c>
      <c r="N10" s="6">
        <f t="shared" si="2"/>
        <v>-13.306177868295995</v>
      </c>
    </row>
    <row r="13" spans="1:10" ht="12.75">
      <c r="A13" t="s">
        <v>21</v>
      </c>
      <c r="B13" s="6">
        <f>2*SUM(B3:B10)/8</f>
        <v>430.25</v>
      </c>
      <c r="C13" s="6">
        <f aca="true" t="shared" si="3" ref="C13:J13">2*SUM(C3:C10)/8</f>
        <v>467.75</v>
      </c>
      <c r="D13" s="6">
        <f t="shared" si="3"/>
        <v>430.5</v>
      </c>
      <c r="E13" s="6">
        <f t="shared" si="3"/>
        <v>875</v>
      </c>
      <c r="F13" s="6">
        <f t="shared" si="3"/>
        <v>630.75</v>
      </c>
      <c r="G13" s="6">
        <f t="shared" si="3"/>
        <v>428.5</v>
      </c>
      <c r="H13" s="6">
        <f t="shared" si="3"/>
        <v>508.75</v>
      </c>
      <c r="I13" s="6">
        <f t="shared" si="3"/>
        <v>562.75</v>
      </c>
      <c r="J13" s="6">
        <f t="shared" si="3"/>
        <v>548.5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Nerenberg</dc:creator>
  <cp:keywords/>
  <dc:description/>
  <cp:lastModifiedBy>Paul Nerenberg</cp:lastModifiedBy>
  <dcterms:created xsi:type="dcterms:W3CDTF">2008-10-04T20:23:16Z</dcterms:created>
  <cp:category/>
  <cp:version/>
  <cp:contentType/>
  <cp:contentStatus/>
</cp:coreProperties>
</file>